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Projects Current\AR&amp;R\SIBR Phase II\Added Value Spreadsheet\"/>
    </mc:Choice>
  </mc:AlternateContent>
  <xr:revisionPtr revIDLastSave="0" documentId="13_ncr:1_{8BD47687-7CB2-4519-BB2C-6A90CAEFD542}" xr6:coauthVersionLast="40" xr6:coauthVersionMax="40" xr10:uidLastSave="{00000000-0000-0000-0000-000000000000}"/>
  <bookViews>
    <workbookView xWindow="240" yWindow="420" windowWidth="21840" windowHeight="13560" tabRatio="646" xr2:uid="{00000000-000D-0000-FFFF-FFFF00000000}"/>
  </bookViews>
  <sheets>
    <sheet name="Table Summary" sheetId="17" r:id="rId1"/>
    <sheet name="N stages" sheetId="6" state="hidden" r:id="rId2"/>
  </sheets>
  <definedNames>
    <definedName name="_xlnm.Print_Area" localSheetId="1">'N stages'!$B$3:$I$15</definedName>
  </definedNames>
  <calcPr calcId="181029"/>
  <fileRecoveryPr autoRecover="0"/>
</workbook>
</file>

<file path=xl/calcChain.xml><?xml version="1.0" encoding="utf-8"?>
<calcChain xmlns="http://schemas.openxmlformats.org/spreadsheetml/2006/main">
  <c r="C9" i="6" l="1"/>
  <c r="C10" i="6" l="1"/>
  <c r="C13" i="6" s="1"/>
  <c r="C4" i="6" l="1"/>
  <c r="G10" i="6"/>
  <c r="F13" i="6" l="1"/>
  <c r="B6" i="6"/>
  <c r="F14" i="6" l="1"/>
  <c r="C14" i="6"/>
  <c r="E8" i="17"/>
  <c r="F16" i="17" l="1"/>
  <c r="F7" i="17" l="1"/>
  <c r="F9" i="17" s="1"/>
  <c r="F10" i="17" s="1"/>
  <c r="F5" i="17"/>
  <c r="F11" i="17"/>
  <c r="C15" i="6" l="1"/>
  <c r="F8" i="17" l="1"/>
  <c r="B5" i="6"/>
  <c r="D6" i="6" l="1"/>
  <c r="E13" i="6" s="1"/>
  <c r="H13" i="6" s="1"/>
  <c r="H15" i="6"/>
  <c r="D5" i="6"/>
  <c r="D7" i="6" s="1"/>
  <c r="E14" i="6" l="1"/>
  <c r="H14" i="6" s="1"/>
  <c r="H16" i="6" l="1"/>
  <c r="H17" i="6" l="1"/>
  <c r="F12" i="17" s="1"/>
  <c r="F13" i="17" s="1"/>
  <c r="F14" i="17"/>
</calcChain>
</file>

<file path=xl/sharedStrings.xml><?xml version="1.0" encoding="utf-8"?>
<sst xmlns="http://schemas.openxmlformats.org/spreadsheetml/2006/main" count="75" uniqueCount="70">
  <si>
    <t>Electricity</t>
  </si>
  <si>
    <t>Cost</t>
  </si>
  <si>
    <t>Labor</t>
  </si>
  <si>
    <t>Parameter</t>
  </si>
  <si>
    <t>Capital cost</t>
  </si>
  <si>
    <t>Maintenance</t>
  </si>
  <si>
    <t>Total</t>
  </si>
  <si>
    <t>With O/H</t>
  </si>
  <si>
    <t>Unit</t>
  </si>
  <si>
    <t>kw</t>
  </si>
  <si>
    <t>EP</t>
  </si>
  <si>
    <t>units</t>
  </si>
  <si>
    <t xml:space="preserve">Depopulator cost assumes </t>
  </si>
  <si>
    <t xml:space="preserve"> Ton/shift</t>
  </si>
  <si>
    <t>Shifts/day</t>
  </si>
  <si>
    <t>kwhr/day</t>
  </si>
  <si>
    <t>lbs/day</t>
  </si>
  <si>
    <t>Length (ft)</t>
  </si>
  <si>
    <t xml:space="preserve"># Stages = </t>
  </si>
  <si>
    <t>Processing Rate (Tons/shift)</t>
  </si>
  <si>
    <t>Cost/lb</t>
  </si>
  <si>
    <t>Cost/Ton</t>
  </si>
  <si>
    <t>Labor Rate ($/hr)</t>
  </si>
  <si>
    <t>$/hr</t>
  </si>
  <si>
    <t>Cost/Day</t>
  </si>
  <si>
    <t>$/shift</t>
  </si>
  <si>
    <t>Processing Rate (Tons/Day)</t>
  </si>
  <si>
    <t>lbs/shift</t>
  </si>
  <si>
    <t xml:space="preserve"> $/Day</t>
  </si>
  <si>
    <t xml:space="preserve"> $/lb</t>
  </si>
  <si>
    <t>Operational Cost Worksheet</t>
  </si>
  <si>
    <t>Hrs/Day</t>
  </si>
  <si>
    <t>Total hrs/day</t>
  </si>
  <si>
    <t>N</t>
  </si>
  <si>
    <t>N-1</t>
  </si>
  <si>
    <t>Upper Heaters</t>
  </si>
  <si>
    <t>Lower Heaters</t>
  </si>
  <si>
    <t>Shaker</t>
  </si>
  <si>
    <t>Depop Heater Model</t>
  </si>
  <si>
    <t>Energy Fraction of One Stage</t>
  </si>
  <si>
    <t>Additional Stage</t>
  </si>
  <si>
    <t>Upper Heater</t>
  </si>
  <si>
    <t>Lower Heater</t>
  </si>
  <si>
    <t>2N-1</t>
  </si>
  <si>
    <t>Total Heaters</t>
  </si>
  <si>
    <t>2/(2N-1)</t>
  </si>
  <si>
    <t xml:space="preserve"> kW</t>
  </si>
  <si>
    <t xml:space="preserve">Power/Heating Section = </t>
  </si>
  <si>
    <t>per year</t>
  </si>
  <si>
    <t xml:space="preserve">Labor Overhead = </t>
  </si>
  <si>
    <t xml:space="preserve"> %</t>
  </si>
  <si>
    <t xml:space="preserve">Basic 2-stage D2000 Price = </t>
  </si>
  <si>
    <t>Number of Shifts/day</t>
  </si>
  <si>
    <t>Energy Cost ($/KWHr)</t>
  </si>
  <si>
    <t>Labor (equiv. people)</t>
  </si>
  <si>
    <t>Weight per Board (lbs)</t>
  </si>
  <si>
    <t>Time to Heat Board (Sec.)</t>
  </si>
  <si>
    <t>Key user inputs</t>
  </si>
  <si>
    <t>Labor O/H Rate (%)</t>
  </si>
  <si>
    <t>Number of Boards loaded per time</t>
  </si>
  <si>
    <t>Computed Parameters</t>
  </si>
  <si>
    <t>ARR D-X000 Depopulator Throughput and Operational Cost Calculator</t>
  </si>
  <si>
    <t>Model Number</t>
  </si>
  <si>
    <t>Number of Stages</t>
  </si>
  <si>
    <t xml:space="preserve">Power per Stage (kW) = </t>
  </si>
  <si>
    <t>Power per Heater</t>
  </si>
  <si>
    <t>TotalPower (kW)</t>
  </si>
  <si>
    <t>Cost ($)</t>
  </si>
  <si>
    <t>Approximate Unit Cost</t>
  </si>
  <si>
    <t>Total Power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</si>
</sst>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0.0"/>
    <numFmt numFmtId="166" formatCode="&quot;$&quot;#,##0"/>
    <numFmt numFmtId="167" formatCode="&quot;$&quot;#,##0.000"/>
  </numFmts>
  <fonts count="11"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charset val="128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8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/>
    <xf numFmtId="164" fontId="5" fillId="0" borderId="0" xfId="0" applyNumberFormat="1" applyFont="1"/>
    <xf numFmtId="0" fontId="5" fillId="0" borderId="0" xfId="0" applyFont="1"/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6" fillId="0" borderId="0" xfId="0" applyFont="1"/>
    <xf numFmtId="1" fontId="2" fillId="4" borderId="4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5" borderId="4" xfId="0" applyFill="1" applyBorder="1"/>
    <xf numFmtId="0" fontId="0" fillId="6" borderId="4" xfId="0" applyFill="1" applyBorder="1"/>
    <xf numFmtId="0" fontId="7" fillId="6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/>
    <xf numFmtId="166" fontId="2" fillId="0" borderId="1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6" fontId="2" fillId="4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 locked="0"/>
    </xf>
    <xf numFmtId="165" fontId="2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right"/>
    </xf>
    <xf numFmtId="0" fontId="3" fillId="7" borderId="24" xfId="0" applyFont="1" applyFill="1" applyBorder="1" applyAlignment="1">
      <alignment horizontal="center" vertical="center"/>
    </xf>
    <xf numFmtId="6" fontId="2" fillId="4" borderId="1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800000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11</xdr:col>
      <xdr:colOff>820216</xdr:colOff>
      <xdr:row>13</xdr:row>
      <xdr:rowOff>3863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AD0C9D-8A92-4014-B364-21AD12D1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0029" y="3015343"/>
          <a:ext cx="2170044" cy="515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showGridLines="0" tabSelected="1" zoomScale="92" zoomScaleNormal="92" workbookViewId="0">
      <selection activeCell="G10" sqref="G10"/>
    </sheetView>
  </sheetViews>
  <sheetFormatPr defaultRowHeight="15.75"/>
  <cols>
    <col min="1" max="1" width="7.625" customWidth="1"/>
    <col min="2" max="2" width="37.625" customWidth="1"/>
    <col min="3" max="3" width="8.375" customWidth="1"/>
    <col min="4" max="4" width="6.75" customWidth="1"/>
    <col min="5" max="5" width="32.25" customWidth="1"/>
    <col min="6" max="6" width="13.25" customWidth="1"/>
    <col min="7" max="7" width="15.25" customWidth="1"/>
    <col min="8" max="8" width="14.625" customWidth="1"/>
    <col min="9" max="9" width="10.75" customWidth="1"/>
    <col min="10" max="10" width="12.75" customWidth="1"/>
  </cols>
  <sheetData>
    <row r="1" spans="1:6" ht="26.25">
      <c r="B1" s="83" t="s">
        <v>61</v>
      </c>
      <c r="C1" s="83"/>
      <c r="D1" s="83"/>
      <c r="E1" s="83"/>
      <c r="F1" s="83"/>
    </row>
    <row r="3" spans="1:6" ht="26.25">
      <c r="B3" s="84" t="s">
        <v>57</v>
      </c>
      <c r="C3" s="84"/>
      <c r="D3" s="27"/>
      <c r="E3" s="84" t="s">
        <v>60</v>
      </c>
      <c r="F3" s="84"/>
    </row>
    <row r="4" spans="1:6" ht="16.5" thickBot="1"/>
    <row r="5" spans="1:6" ht="19.5" thickBot="1">
      <c r="A5" s="53"/>
      <c r="B5" s="63" t="s">
        <v>64</v>
      </c>
      <c r="C5" s="52">
        <v>5</v>
      </c>
      <c r="E5" s="59" t="s">
        <v>62</v>
      </c>
      <c r="F5" s="29" t="str">
        <f>"D-"&amp;F6&amp;"0"&amp;ROUND(F16,0)</f>
        <v>D-2015</v>
      </c>
    </row>
    <row r="6" spans="1:6" ht="19.5" thickBot="1">
      <c r="A6" s="53"/>
      <c r="E6" s="61" t="s">
        <v>63</v>
      </c>
      <c r="F6" s="65">
        <v>2</v>
      </c>
    </row>
    <row r="7" spans="1:6" ht="19.5" thickBot="1">
      <c r="B7" s="61" t="s">
        <v>52</v>
      </c>
      <c r="C7" s="52">
        <v>1</v>
      </c>
      <c r="E7" s="59" t="s">
        <v>56</v>
      </c>
      <c r="F7" s="66">
        <f>184*15/F16</f>
        <v>184</v>
      </c>
    </row>
    <row r="8" spans="1:6" ht="19.5" thickBot="1">
      <c r="E8" s="60" t="str">
        <f>"Time to load "&amp;C11&amp;" Boards (sec)"</f>
        <v>Time to load 4 Boards (sec)</v>
      </c>
      <c r="F8" s="55">
        <f>F$7/F6</f>
        <v>92</v>
      </c>
    </row>
    <row r="9" spans="1:6" ht="19.5" thickBot="1">
      <c r="B9" s="59" t="s">
        <v>55</v>
      </c>
      <c r="C9" s="52">
        <v>1.6</v>
      </c>
      <c r="E9" s="59" t="s">
        <v>19</v>
      </c>
      <c r="F9" s="55">
        <f>(14.4*C$9*C$11*F6/F$7)</f>
        <v>1.0017391304347827</v>
      </c>
    </row>
    <row r="10" spans="1:6" ht="19.5" thickBot="1">
      <c r="E10" s="60" t="s">
        <v>26</v>
      </c>
      <c r="F10" s="57">
        <f>F9*$C$7</f>
        <v>1.0017391304347827</v>
      </c>
    </row>
    <row r="11" spans="1:6" ht="19.5" thickBot="1">
      <c r="B11" s="59" t="s">
        <v>59</v>
      </c>
      <c r="C11" s="52">
        <v>4</v>
      </c>
      <c r="E11" s="60" t="s">
        <v>68</v>
      </c>
      <c r="F11" s="56">
        <f>'N stages'!C9</f>
        <v>250000</v>
      </c>
    </row>
    <row r="12" spans="1:6" ht="19.5" thickBot="1">
      <c r="E12" s="61" t="s">
        <v>20</v>
      </c>
      <c r="F12" s="58">
        <f>'N stages'!H17</f>
        <v>8.9178240740740725E-2</v>
      </c>
    </row>
    <row r="13" spans="1:6" ht="19.5" thickBot="1">
      <c r="B13" s="59" t="s">
        <v>53</v>
      </c>
      <c r="C13" s="52">
        <v>0.15</v>
      </c>
      <c r="E13" s="61" t="s">
        <v>21</v>
      </c>
      <c r="F13" s="56">
        <f>F12*2000</f>
        <v>178.35648148148144</v>
      </c>
    </row>
    <row r="14" spans="1:6" ht="19.5" thickBot="1">
      <c r="B14" s="59" t="s">
        <v>22</v>
      </c>
      <c r="C14" s="52">
        <v>12</v>
      </c>
      <c r="E14" s="60" t="s">
        <v>24</v>
      </c>
      <c r="F14" s="56">
        <f>'N stages'!H16</f>
        <v>178.66666666666666</v>
      </c>
    </row>
    <row r="15" spans="1:6" ht="19.5" thickBot="1">
      <c r="B15" s="59" t="s">
        <v>58</v>
      </c>
      <c r="C15" s="54">
        <v>50</v>
      </c>
      <c r="E15" s="60" t="s">
        <v>17</v>
      </c>
      <c r="F15" s="87">
        <v>10</v>
      </c>
    </row>
    <row r="16" spans="1:6" ht="19.5" thickBot="1">
      <c r="B16" s="59" t="s">
        <v>54</v>
      </c>
      <c r="C16" s="54">
        <v>1</v>
      </c>
      <c r="E16" s="60" t="s">
        <v>69</v>
      </c>
      <c r="F16" s="57">
        <f>'N stages'!C13</f>
        <v>15</v>
      </c>
    </row>
  </sheetData>
  <sheetProtection password="CD12" sheet="1" objects="1" scenarios="1"/>
  <mergeCells count="3">
    <mergeCell ref="B1:F1"/>
    <mergeCell ref="E3:F3"/>
    <mergeCell ref="B3:C3"/>
  </mergeCells>
  <dataValidations count="1">
    <dataValidation type="decimal" operator="greaterThan" allowBlank="1" showInputMessage="1" showErrorMessage="1" sqref="C11 C9 C13:C16" xr:uid="{21810C05-4A64-4C3B-A922-F9988F03DB3F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8E1AA6D-98F6-468C-A2D6-EA6C5FFCFD83}">
          <x14:formula1>
            <xm:f>'N stages'!$M$2:$M$4</xm:f>
          </x14:formula1>
          <xm:sqref>C7</xm:sqref>
        </x14:dataValidation>
        <x14:dataValidation type="list" allowBlank="1" showInputMessage="1" showErrorMessage="1" xr:uid="{984CF98E-E1A7-4CF0-8CC2-D68B666B3F7B}">
          <x14:formula1>
            <xm:f>'N stages'!$O$4:$O$7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8"/>
  <sheetViews>
    <sheetView topLeftCell="B1" zoomScale="70" zoomScaleNormal="70" workbookViewId="0">
      <selection activeCell="B5" sqref="B5"/>
    </sheetView>
  </sheetViews>
  <sheetFormatPr defaultColWidth="11" defaultRowHeight="15.75"/>
  <cols>
    <col min="1" max="1" width="13.125" customWidth="1"/>
    <col min="2" max="2" width="27" customWidth="1"/>
    <col min="3" max="3" width="13.75" customWidth="1"/>
    <col min="4" max="4" width="10.25" customWidth="1"/>
    <col min="5" max="5" width="14.75" customWidth="1"/>
    <col min="6" max="6" width="10" customWidth="1"/>
    <col min="7" max="7" width="16.625" customWidth="1"/>
    <col min="8" max="8" width="11.75" customWidth="1"/>
    <col min="9" max="9" width="11.25" customWidth="1"/>
    <col min="10" max="10" width="13.75" customWidth="1"/>
    <col min="11" max="11" width="17.75" customWidth="1"/>
    <col min="12" max="12" width="14.875" customWidth="1"/>
    <col min="13" max="13" width="9.125" customWidth="1"/>
    <col min="14" max="14" width="7" customWidth="1"/>
  </cols>
  <sheetData>
    <row r="1" spans="2:17" ht="27" customHeight="1" thickBot="1">
      <c r="B1" s="26" t="s">
        <v>30</v>
      </c>
      <c r="G1" s="28">
        <v>1</v>
      </c>
      <c r="H1" s="28">
        <v>2</v>
      </c>
      <c r="I1" s="28">
        <v>3</v>
      </c>
      <c r="J1" s="28" t="s">
        <v>33</v>
      </c>
      <c r="K1" s="24" t="s">
        <v>44</v>
      </c>
    </row>
    <row r="2" spans="2:17" ht="19.149999999999999" customHeight="1" thickBot="1">
      <c r="B2" s="51" t="s">
        <v>51</v>
      </c>
      <c r="C2" s="38">
        <v>100000</v>
      </c>
      <c r="G2" s="32" t="s">
        <v>35</v>
      </c>
      <c r="H2" s="31"/>
      <c r="I2" s="31"/>
      <c r="J2" s="31"/>
      <c r="K2" s="24" t="s">
        <v>33</v>
      </c>
      <c r="M2">
        <v>1</v>
      </c>
    </row>
    <row r="3" spans="2:17" ht="34.5" customHeight="1" thickBot="1">
      <c r="B3" s="85" t="s">
        <v>12</v>
      </c>
      <c r="C3" s="86"/>
      <c r="F3" s="4"/>
      <c r="G3" s="33"/>
      <c r="H3" s="24" t="s">
        <v>38</v>
      </c>
      <c r="K3" s="24"/>
      <c r="M3">
        <v>2</v>
      </c>
      <c r="O3" s="80" t="s">
        <v>65</v>
      </c>
      <c r="P3" s="81" t="s">
        <v>66</v>
      </c>
      <c r="Q3" s="82" t="s">
        <v>67</v>
      </c>
    </row>
    <row r="4" spans="2:17" ht="20.25" customHeight="1" thickBot="1">
      <c r="B4" s="15" t="s">
        <v>18</v>
      </c>
      <c r="C4" s="40">
        <f>'Table Summary'!F6</f>
        <v>2</v>
      </c>
      <c r="D4" s="4"/>
      <c r="E4" s="5"/>
      <c r="G4" s="34" t="s">
        <v>36</v>
      </c>
      <c r="H4" s="30"/>
      <c r="I4" s="30"/>
      <c r="J4" s="29" t="s">
        <v>37</v>
      </c>
      <c r="K4" s="24" t="s">
        <v>34</v>
      </c>
      <c r="M4">
        <v>3</v>
      </c>
      <c r="O4" s="77">
        <v>5</v>
      </c>
      <c r="P4" s="78">
        <v>15</v>
      </c>
      <c r="Q4" s="79">
        <v>250000</v>
      </c>
    </row>
    <row r="5" spans="2:17" ht="22.5" customHeight="1" thickBot="1">
      <c r="B5" s="41">
        <f>'Table Summary'!F9</f>
        <v>1.0017391304347827</v>
      </c>
      <c r="C5" s="42" t="s">
        <v>13</v>
      </c>
      <c r="D5" s="17">
        <f>2000*B5</f>
        <v>2003.4782608695655</v>
      </c>
      <c r="E5" s="12" t="s">
        <v>27</v>
      </c>
      <c r="G5" s="25">
        <v>1</v>
      </c>
      <c r="H5" s="25">
        <v>2</v>
      </c>
      <c r="I5" s="25" t="s">
        <v>34</v>
      </c>
      <c r="K5" s="25" t="s">
        <v>43</v>
      </c>
      <c r="O5" s="71">
        <v>7</v>
      </c>
      <c r="P5" s="70">
        <v>19</v>
      </c>
      <c r="Q5" s="72">
        <v>275000</v>
      </c>
    </row>
    <row r="6" spans="2:17" ht="24.6" customHeight="1" thickBot="1">
      <c r="B6" s="18">
        <f>'Table Summary'!C7</f>
        <v>1</v>
      </c>
      <c r="C6" s="42" t="s">
        <v>14</v>
      </c>
      <c r="D6" s="19">
        <f>B6*8</f>
        <v>8</v>
      </c>
      <c r="E6" s="12" t="s">
        <v>32</v>
      </c>
      <c r="I6" s="35" t="s">
        <v>39</v>
      </c>
      <c r="J6" s="24" t="s">
        <v>45</v>
      </c>
      <c r="O6" s="71">
        <v>10</v>
      </c>
      <c r="P6" s="70">
        <v>25</v>
      </c>
      <c r="Q6" s="73">
        <v>300000</v>
      </c>
    </row>
    <row r="7" spans="2:17" ht="22.15" customHeight="1" thickBot="1">
      <c r="D7" s="17">
        <f>B6*D5</f>
        <v>2003.4782608695655</v>
      </c>
      <c r="E7" s="12" t="s">
        <v>16</v>
      </c>
      <c r="K7" s="32" t="s">
        <v>41</v>
      </c>
      <c r="O7" s="74">
        <v>12</v>
      </c>
      <c r="P7" s="75">
        <v>30</v>
      </c>
      <c r="Q7" s="76">
        <v>325000</v>
      </c>
    </row>
    <row r="8" spans="2:17" ht="21" customHeight="1" thickBot="1">
      <c r="K8" s="24" t="s">
        <v>40</v>
      </c>
    </row>
    <row r="9" spans="2:17" ht="21" customHeight="1" thickBot="1">
      <c r="B9" s="36" t="s">
        <v>4</v>
      </c>
      <c r="C9" s="69">
        <f>LOOKUP('Table Summary'!C5,O4:Q7)</f>
        <v>250000</v>
      </c>
      <c r="K9" s="34" t="s">
        <v>42</v>
      </c>
    </row>
    <row r="10" spans="2:17" ht="21" customHeight="1" thickBot="1">
      <c r="B10" s="67" t="s">
        <v>47</v>
      </c>
      <c r="C10" s="68">
        <f>'Table Summary'!C5</f>
        <v>5</v>
      </c>
      <c r="D10" s="37" t="s">
        <v>46</v>
      </c>
      <c r="F10" s="35" t="s">
        <v>49</v>
      </c>
      <c r="G10" s="50">
        <f>'Table Summary'!C15</f>
        <v>50</v>
      </c>
      <c r="H10" s="3" t="s">
        <v>50</v>
      </c>
    </row>
    <row r="11" spans="2:17" ht="18.75" customHeight="1" thickBot="1">
      <c r="D11" s="2"/>
      <c r="E11" s="2"/>
      <c r="F11" s="3"/>
      <c r="G11" s="3"/>
      <c r="H11" s="3"/>
      <c r="I11" s="3"/>
    </row>
    <row r="12" spans="2:17" ht="18.75" customHeight="1" thickBot="1">
      <c r="B12" s="39" t="s">
        <v>1</v>
      </c>
      <c r="C12" s="13" t="s">
        <v>3</v>
      </c>
      <c r="D12" s="14" t="s">
        <v>11</v>
      </c>
      <c r="E12" s="13" t="s">
        <v>31</v>
      </c>
      <c r="F12" s="14" t="s">
        <v>1</v>
      </c>
      <c r="G12" s="13" t="s">
        <v>8</v>
      </c>
      <c r="H12" s="14" t="s">
        <v>24</v>
      </c>
      <c r="I12" s="13"/>
    </row>
    <row r="13" spans="2:17" ht="18.75">
      <c r="B13" s="7" t="s">
        <v>0</v>
      </c>
      <c r="C13" s="64">
        <f>LOOKUP(C10,O4:P7)</f>
        <v>15</v>
      </c>
      <c r="D13" s="20" t="s">
        <v>9</v>
      </c>
      <c r="E13" s="21">
        <f>D$6</f>
        <v>8</v>
      </c>
      <c r="F13" s="21">
        <f>'Table Summary'!C13</f>
        <v>0.15</v>
      </c>
      <c r="G13" s="22" t="s">
        <v>15</v>
      </c>
      <c r="H13" s="88">
        <f>C13*E13*F13</f>
        <v>18</v>
      </c>
      <c r="I13" s="23"/>
    </row>
    <row r="14" spans="2:17" ht="19.5" thickBot="1">
      <c r="B14" s="45" t="s">
        <v>2</v>
      </c>
      <c r="C14" s="43">
        <f>'Table Summary'!C16</f>
        <v>1</v>
      </c>
      <c r="D14" s="46" t="s">
        <v>10</v>
      </c>
      <c r="E14" s="44">
        <f>D$6</f>
        <v>8</v>
      </c>
      <c r="F14" s="44">
        <f>'Table Summary'!C14</f>
        <v>12</v>
      </c>
      <c r="G14" s="6" t="s">
        <v>23</v>
      </c>
      <c r="H14" s="89">
        <f>C14*E14*F14*(1+G10/100)</f>
        <v>144</v>
      </c>
      <c r="I14" s="9" t="s">
        <v>7</v>
      </c>
    </row>
    <row r="15" spans="2:17" ht="19.5" thickBot="1">
      <c r="B15" s="47" t="s">
        <v>5</v>
      </c>
      <c r="C15" s="48">
        <f>C9/60</f>
        <v>4166.666666666667</v>
      </c>
      <c r="D15" s="49" t="s">
        <v>48</v>
      </c>
      <c r="E15" s="1"/>
      <c r="F15" s="1"/>
      <c r="G15" s="8" t="s">
        <v>25</v>
      </c>
      <c r="H15" s="89">
        <f>B6*C15/250</f>
        <v>16.666666666666668</v>
      </c>
      <c r="I15" s="9"/>
    </row>
    <row r="16" spans="2:17" ht="24" thickBot="1">
      <c r="G16" s="92" t="s">
        <v>6</v>
      </c>
      <c r="H16" s="90">
        <f>SUM(H13:H15)</f>
        <v>178.66666666666666</v>
      </c>
      <c r="I16" s="10" t="s">
        <v>28</v>
      </c>
    </row>
    <row r="17" spans="2:9" ht="21.75" thickBot="1">
      <c r="E17" s="1"/>
      <c r="G17" s="91" t="s">
        <v>20</v>
      </c>
      <c r="H17" s="62">
        <f>H16/D7</f>
        <v>8.9178240740740725E-2</v>
      </c>
      <c r="I17" s="11" t="s">
        <v>29</v>
      </c>
    </row>
    <row r="18" spans="2:9" ht="21">
      <c r="E18" s="27"/>
    </row>
    <row r="19" spans="2:9" ht="23.25">
      <c r="F19" s="16"/>
      <c r="I19" s="5"/>
    </row>
    <row r="20" spans="2:9" ht="23.25">
      <c r="B20" s="27"/>
      <c r="C20" s="27"/>
      <c r="D20" s="27"/>
      <c r="E20" s="27"/>
      <c r="I20" s="5"/>
    </row>
    <row r="21" spans="2:9" ht="23.25">
      <c r="I21" s="5"/>
    </row>
    <row r="22" spans="2:9" ht="23.25">
      <c r="I22" s="5"/>
    </row>
    <row r="23" spans="2:9" ht="18" customHeight="1">
      <c r="I23" s="5"/>
    </row>
    <row r="24" spans="2:9" ht="19.149999999999999" customHeight="1">
      <c r="I24" s="5"/>
    </row>
    <row r="31" spans="2:9" ht="27" customHeight="1"/>
    <row r="32" spans="2:9" ht="64.5" customHeight="1"/>
    <row r="33" ht="38.25" customHeight="1"/>
    <row r="34" ht="21" customHeight="1"/>
    <row r="38" ht="14.25" customHeight="1"/>
    <row r="39" ht="18" customHeight="1"/>
    <row r="64" ht="19.5" customHeight="1"/>
    <row r="72" spans="10:10" ht="23.25">
      <c r="J72" s="5"/>
    </row>
    <row r="73" spans="10:10" ht="23.25">
      <c r="J73" s="5"/>
    </row>
    <row r="74" spans="10:10" ht="23.25">
      <c r="J74" s="5"/>
    </row>
    <row r="75" spans="10:10" ht="23.25">
      <c r="J75" s="5"/>
    </row>
    <row r="76" spans="10:10" ht="23.25">
      <c r="J76" s="5"/>
    </row>
    <row r="77" spans="10:10" ht="23.25">
      <c r="J77" s="5"/>
    </row>
    <row r="78" spans="10:10" ht="23.25">
      <c r="J78" s="5"/>
    </row>
  </sheetData>
  <sheetProtection password="CD12" sheet="1" objects="1" scenarios="1"/>
  <mergeCells count="1">
    <mergeCell ref="B3:C3"/>
  </mergeCells>
  <pageMargins left="0.75" right="0.75" top="1" bottom="1" header="0.5" footer="0.5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+ K m C T c H S d h i n A A A A + A A A A B I A H A B D b 2 5 m a W c v U G F j a 2 F n Z S 5 4 b W w g o h g A K K A U A A A A A A A A A A A A A A A A A A A A A A A A A A A A h Y 9 B D o I w F E S v Q r q n r V U M I Z + y c C u J C d G 4 b U q F R i i G F s v d X H g k r y C J o u 5 c z u R N 8 u Z x u 0 M 2 t k 1 w V b 3 V n U n R A l M U K C O 7 U p s q R Y M 7 h T H K O O y E P I t K B R N s b D J a n a L a u U t C i P c e + y X u + o o w S h f k m G 8 L W a t W h N p Y J 4 x U 6 L M q / 6 8 Q h 8 N L h j O 8 X u G I x R G O Y g Z k r i H X 5 o u w y R h T I D 8 l b I b G D b 3 i y o T 7 A s g c g b x f 8 C d Q S w M E F A A C A A g A + K m C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i p g k 0 o i k e 4 D g A A A B E A A A A T A B w A R m 9 y b X V s Y X M v U 2 V j d G l v b j E u b S C i G A A o o B Q A A A A A A A A A A A A A A A A A A A A A A A A A A A A r T k 0 u y c z P U w i G 0 I b W A F B L A Q I t A B Q A A g A I A P i p g k 3 B 0 n Y Y p w A A A P g A A A A S A A A A A A A A A A A A A A A A A A A A A A B D b 2 5 m a W c v U G F j a 2 F n Z S 5 4 b W x Q S w E C L Q A U A A I A C A D 4 q Y J N D 8 r p q 6 Q A A A D p A A A A E w A A A A A A A A A A A A A A A A D z A A A A W 0 N v b n R l b n R f V H l w Z X N d L n h t b F B L A Q I t A B Q A A g A I A P i p g k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p 9 y W y A H U C Q q x C C j l c P Y D y A A A A A A I A A A A A A B B m A A A A A Q A A I A A A A G 6 g 1 / E J y b d s I T q / 0 5 R z e V 2 f + S 6 R 3 4 u v W W K M p s b I 2 / r k A A A A A A 6 A A A A A A g A A I A A A A M i z 3 T 7 d 1 F 2 o P q U 9 q D 5 C G i C m / T e O F R m s U + x O x / U u C / i m U A A A A J X R r a a y m 1 / H U r k M n L B C o k w / I 8 Y Q u P p R r o A / 6 c g + M F Y 3 j B 6 X G U J M X 0 3 p 1 G P C 6 9 y 8 A S 4 O L N J T m U z 0 A K + 1 Q W J m s g 9 X I 2 u 9 6 n 9 + 2 Y j w t L y N O O 6 j Q A A A A E V L 0 h 7 K M p 0 P t h X A 9 A P R E 2 R w Q q I 9 d y m e s M E 3 S L 5 p F y P v j z M I G V a W y u D i 3 m 8 Z p B C u 1 Z H 9 7 l V Y T M 4 g a P T v N M 7 l 5 s A = < / D a t a M a s h u p > 
</file>

<file path=customXml/itemProps1.xml><?xml version="1.0" encoding="utf-8"?>
<ds:datastoreItem xmlns:ds="http://schemas.openxmlformats.org/officeDocument/2006/customXml" ds:itemID="{4911319A-3027-4990-9E51-49E9F720C5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Summary</vt:lpstr>
      <vt:lpstr>N stages</vt:lpstr>
      <vt:lpstr>'N stages'!Print_Area</vt:lpstr>
    </vt:vector>
  </TitlesOfParts>
  <Company>MSR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Dolinko</dc:creator>
  <cp:lastModifiedBy>Tietien</cp:lastModifiedBy>
  <cp:lastPrinted>2015-02-25T16:28:54Z</cp:lastPrinted>
  <dcterms:created xsi:type="dcterms:W3CDTF">2015-02-10T15:44:38Z</dcterms:created>
  <dcterms:modified xsi:type="dcterms:W3CDTF">2018-12-03T04:47:58Z</dcterms:modified>
</cp:coreProperties>
</file>